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0490" windowHeight="9630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C13" i="1"/>
  <c r="C40" i="1"/>
  <c r="B40" i="1"/>
  <c r="C38" i="1"/>
  <c r="C39" i="1" s="1"/>
  <c r="B38" i="1"/>
  <c r="B39" i="1" s="1"/>
  <c r="B36" i="1"/>
  <c r="C36" i="1"/>
  <c r="B35" i="1"/>
  <c r="C35" i="1"/>
  <c r="B33" i="1"/>
  <c r="C31" i="1" l="1"/>
  <c r="B31" i="1"/>
  <c r="C29" i="1"/>
  <c r="C30" i="1"/>
  <c r="B29" i="1"/>
  <c r="B30" i="1"/>
  <c r="C26" i="1"/>
  <c r="B26" i="1"/>
  <c r="C27" i="1"/>
  <c r="B27" i="1"/>
  <c r="C23" i="1"/>
  <c r="C21" i="1"/>
  <c r="B21" i="1"/>
  <c r="C22" i="1"/>
  <c r="B23" i="1"/>
  <c r="B19" i="1"/>
  <c r="B18" i="1"/>
  <c r="C19" i="1"/>
  <c r="C18" i="1"/>
  <c r="F14" i="1"/>
  <c r="C16" i="1" s="1"/>
  <c r="E14" i="1"/>
  <c r="B17" i="1" l="1"/>
  <c r="B14" i="1"/>
  <c r="C14" i="1"/>
  <c r="C17" i="1"/>
  <c r="B16" i="1"/>
</calcChain>
</file>

<file path=xl/sharedStrings.xml><?xml version="1.0" encoding="utf-8"?>
<sst xmlns="http://schemas.openxmlformats.org/spreadsheetml/2006/main" count="169" uniqueCount="138">
  <si>
    <t>Valuation analysis</t>
  </si>
  <si>
    <t>List the following key variables for Netflix and Disney stock.</t>
  </si>
  <si>
    <t>[[You need to get these from the company’s balance sheets and income statements.</t>
  </si>
  <si>
    <t>Check PPT notes, present the formulas for the following measures.]]</t>
  </si>
  <si>
    <t>Remember:</t>
  </si>
  <si>
    <t>Ratios are not very helpful by themselves: they need to be compared to something. You must do the following:</t>
  </si>
  <si>
    <t>Time-Trend Analysis - to see how the firm’s performance is changing through time</t>
  </si>
  <si>
    <t>Peer Group Analysis - compared to similar companies within industries or compare to industry averages</t>
  </si>
  <si>
    <t xml:space="preserve">Netflix </t>
  </si>
  <si>
    <t>Disney</t>
  </si>
  <si>
    <t xml:space="preserve">   Market Capitalization </t>
  </si>
  <si>
    <t xml:space="preserve">   Market Value Added </t>
  </si>
  <si>
    <t>(in billions)</t>
  </si>
  <si>
    <t xml:space="preserve">   Economic Value Added</t>
  </si>
  <si>
    <t xml:space="preserve">   ROE </t>
  </si>
  <si>
    <t xml:space="preserve">   ROC</t>
  </si>
  <si>
    <t xml:space="preserve">   ROA </t>
  </si>
  <si>
    <t xml:space="preserve">   Asset Turnover Ratio</t>
  </si>
  <si>
    <t xml:space="preserve">   Inventory Turnover Ratio </t>
  </si>
  <si>
    <t xml:space="preserve">   Receivables Turnover</t>
  </si>
  <si>
    <t xml:space="preserve">• Measuring Efficiency </t>
  </si>
  <si>
    <t>• Measuring Profitability</t>
  </si>
  <si>
    <t>• Value and Value Added</t>
  </si>
  <si>
    <t>• Analyzing the Return on Assets</t>
  </si>
  <si>
    <t xml:space="preserve">     The Du Pont System</t>
  </si>
  <si>
    <t xml:space="preserve">           Profit Margin </t>
  </si>
  <si>
    <t xml:space="preserve">           Operating Profit Margin</t>
  </si>
  <si>
    <t>• Measuring Leverage</t>
  </si>
  <si>
    <t xml:space="preserve">    Long term debt ratio</t>
  </si>
  <si>
    <t xml:space="preserve">   Debt equity ratio</t>
  </si>
  <si>
    <t xml:space="preserve">   Total Debt Ratio</t>
  </si>
  <si>
    <t xml:space="preserve">   Times Interest Earned </t>
  </si>
  <si>
    <t xml:space="preserve">   Cash Coverage Ratio</t>
  </si>
  <si>
    <t>8.4x</t>
  </si>
  <si>
    <t>1.5x</t>
  </si>
  <si>
    <t>• Calculating Sustainable Growth</t>
  </si>
  <si>
    <t xml:space="preserve"> • Measuring Liquidity </t>
  </si>
  <si>
    <t xml:space="preserve">   Quick ratio</t>
  </si>
  <si>
    <t xml:space="preserve">   Cash Ratio </t>
  </si>
  <si>
    <t xml:space="preserve">   Payout Ratio</t>
  </si>
  <si>
    <t xml:space="preserve">   Plowback ratio</t>
  </si>
  <si>
    <t>Growth in Equity from plowback</t>
  </si>
  <si>
    <t>_</t>
  </si>
  <si>
    <t xml:space="preserve">Time-Trend Analysis </t>
  </si>
  <si>
    <t>Year</t>
  </si>
  <si>
    <t>Market cap</t>
  </si>
  <si>
    <t>Change</t>
  </si>
  <si>
    <t>$307.22 B</t>
  </si>
  <si>
    <t>$328.02 B</t>
  </si>
  <si>
    <t>$257.58 B</t>
  </si>
  <si>
    <t>$164.47 B</t>
  </si>
  <si>
    <t>$162.04 B</t>
  </si>
  <si>
    <t>$165.86 B</t>
  </si>
  <si>
    <t xml:space="preserve">Market Cap - Disney </t>
  </si>
  <si>
    <t>$305.77 B</t>
  </si>
  <si>
    <t>$238.89 B</t>
  </si>
  <si>
    <t>$141.98 B</t>
  </si>
  <si>
    <t>$116.85 B</t>
  </si>
  <si>
    <t>$83.06 B</t>
  </si>
  <si>
    <t>$53.12 B</t>
  </si>
  <si>
    <t xml:space="preserve">Comparingly, Netflix market cap is less than that of Disney, its close competitor although these statistics show that it is the 30th most  valued company. </t>
  </si>
  <si>
    <t>Market cap measures a company's worth. Disney had a market cap of $309.0bn as of Nov 2021. It is now the world's 29th most valuable corporation.</t>
  </si>
  <si>
    <t>Market Cap - Netflix</t>
  </si>
  <si>
    <t>ROE</t>
  </si>
  <si>
    <t xml:space="preserve">This shows how well a company uses investment funds to generate earnings growth. Netflix's ROE of 45% is desirable when compared to Disney's 1%. </t>
  </si>
  <si>
    <t>Date</t>
  </si>
  <si>
    <t>TTM Net Income</t>
  </si>
  <si>
    <t>Shareholder's Equity</t>
  </si>
  <si>
    <t>Return on Equity</t>
  </si>
  <si>
    <t>$5.05B</t>
  </si>
  <si>
    <t>$15.32B</t>
  </si>
  <si>
    <t>$2.76B</t>
  </si>
  <si>
    <t>$11.07B</t>
  </si>
  <si>
    <t>$1.87B</t>
  </si>
  <si>
    <t>$7.58B</t>
  </si>
  <si>
    <t>$6.86B</t>
  </si>
  <si>
    <t>$1.21B</t>
  </si>
  <si>
    <t>$5.24B</t>
  </si>
  <si>
    <t>$0.56B</t>
  </si>
  <si>
    <t>$3.58B</t>
  </si>
  <si>
    <t>$1.13B</t>
  </si>
  <si>
    <t>$91.12B</t>
  </si>
  <si>
    <t>$-4.95B</t>
  </si>
  <si>
    <t>$88.73B</t>
  </si>
  <si>
    <t>$10.37B</t>
  </si>
  <si>
    <t>$94.77B</t>
  </si>
  <si>
    <t>$10.96B</t>
  </si>
  <si>
    <t>$54.39B</t>
  </si>
  <si>
    <t>$10.92B</t>
  </si>
  <si>
    <t>$47.08B</t>
  </si>
  <si>
    <t>Asset Turnover Ratio</t>
  </si>
  <si>
    <t>Current Assets - Inventory</t>
  </si>
  <si>
    <t>Current Liabilities</t>
  </si>
  <si>
    <t>Quick Ratio</t>
  </si>
  <si>
    <t>$32.62B</t>
  </si>
  <si>
    <t>$27.41B</t>
  </si>
  <si>
    <t>$31.47B</t>
  </si>
  <si>
    <t>$26.64B</t>
  </si>
  <si>
    <t>$33.39B</t>
  </si>
  <si>
    <t>$26.55B</t>
  </si>
  <si>
    <t>$33.67B</t>
  </si>
  <si>
    <t>$26.63B</t>
  </si>
  <si>
    <t>$39.77B</t>
  </si>
  <si>
    <t>$30.92B</t>
  </si>
  <si>
    <t>$31.74B</t>
  </si>
  <si>
    <t>$35.47B</t>
  </si>
  <si>
    <t>$26.21B</t>
  </si>
  <si>
    <t>$34.80B</t>
  </si>
  <si>
    <t>$26.48B</t>
  </si>
  <si>
    <t>$31.34B</t>
  </si>
  <si>
    <t>$29.85B</t>
  </si>
  <si>
    <t>$44.59B</t>
  </si>
  <si>
    <t>$32.83B</t>
  </si>
  <si>
    <t>$44.38B</t>
  </si>
  <si>
    <t>$16.18B</t>
  </si>
  <si>
    <t>$17.62B</t>
  </si>
  <si>
    <t>$15.43B</t>
  </si>
  <si>
    <t>$17.86B</t>
  </si>
  <si>
    <t>$16.41B</t>
  </si>
  <si>
    <t>$20.21B</t>
  </si>
  <si>
    <t>$15.51B</t>
  </si>
  <si>
    <t>$19.73B</t>
  </si>
  <si>
    <t>$0.00B</t>
  </si>
  <si>
    <t>$8.05B</t>
  </si>
  <si>
    <t>$7.83B</t>
  </si>
  <si>
    <t>$7.96B</t>
  </si>
  <si>
    <t>$7.81B</t>
  </si>
  <si>
    <t>$7.94B</t>
  </si>
  <si>
    <t>$7.63B</t>
  </si>
  <si>
    <t>$7.85B</t>
  </si>
  <si>
    <t>$7.26B</t>
  </si>
  <si>
    <t>$6.93B</t>
  </si>
  <si>
    <t>$6.49B</t>
  </si>
  <si>
    <t>$6.30B</t>
  </si>
  <si>
    <t>$6.08B</t>
  </si>
  <si>
    <t xml:space="preserve">Debt/Equity Ratio comparison between the two companies </t>
  </si>
  <si>
    <t xml:space="preserve">Disney </t>
  </si>
  <si>
    <t xml:space="preserve">Time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</si>
</sst>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181818"/>
      <name val="Times New Roman"/>
      <family val="1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44" fontId="2" fillId="0" borderId="0" xfId="1" applyFont="1"/>
    <xf numFmtId="44" fontId="0" fillId="0" borderId="0" xfId="1" applyFont="1"/>
    <xf numFmtId="0" fontId="0" fillId="0" borderId="0" xfId="1" applyNumberFormat="1" applyFont="1"/>
    <xf numFmtId="0" fontId="5" fillId="0" borderId="0" xfId="0" applyFont="1"/>
    <xf numFmtId="0" fontId="0" fillId="0" borderId="1" xfId="0" applyBorder="1"/>
    <xf numFmtId="44" fontId="2" fillId="0" borderId="2" xfId="1" applyFont="1" applyBorder="1"/>
    <xf numFmtId="44" fontId="2" fillId="0" borderId="3" xfId="1" applyFont="1" applyBorder="1"/>
    <xf numFmtId="0" fontId="2" fillId="0" borderId="4" xfId="0" applyFont="1" applyBorder="1"/>
    <xf numFmtId="44" fontId="0" fillId="0" borderId="0" xfId="1" applyFont="1" applyBorder="1"/>
    <xf numFmtId="44" fontId="0" fillId="0" borderId="5" xfId="1" applyFont="1" applyBorder="1"/>
    <xf numFmtId="0" fontId="3" fillId="0" borderId="4" xfId="0" applyFont="1" applyBorder="1"/>
    <xf numFmtId="44" fontId="1" fillId="0" borderId="0" xfId="1" applyFont="1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44" fontId="0" fillId="0" borderId="0" xfId="1" applyFont="1" applyBorder="1" applyAlignment="1">
      <alignment horizontal="right"/>
    </xf>
    <xf numFmtId="164" fontId="0" fillId="0" borderId="0" xfId="1" applyNumberFormat="1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3" fillId="0" borderId="6" xfId="0" applyFon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10" fontId="0" fillId="0" borderId="0" xfId="1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9" fontId="0" fillId="0" borderId="0" xfId="0" applyNumberFormat="1"/>
    <xf numFmtId="10" fontId="0" fillId="0" borderId="0" xfId="0" applyNumberFormat="1"/>
    <xf numFmtId="2" fontId="0" fillId="0" borderId="0" xfId="0" applyNumberFormat="1"/>
    <xf numFmtId="14" fontId="0" fillId="0" borderId="0" xfId="0" applyNumberFormat="1"/>
    <xf numFmtId="44" fontId="0" fillId="0" borderId="0" xfId="1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44" fontId="2" fillId="0" borderId="0" xfId="1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Font="1" applyAlignment="1"/>
    <xf numFmtId="44" fontId="2" fillId="0" borderId="0" xfId="1" applyFont="1" applyAlignment="1">
      <alignment horizontal="right"/>
    </xf>
    <xf numFmtId="0" fontId="0" fillId="0" borderId="0" xfId="0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90</xdr:row>
      <xdr:rowOff>0</xdr:rowOff>
    </xdr:from>
    <xdr:to>
      <xdr:col>8</xdr:col>
      <xdr:colOff>75101</xdr:colOff>
      <xdr:row>117</xdr:row>
      <xdr:rowOff>180309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345150"/>
          <a:ext cx="8790476" cy="53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topLeftCell="A54" workbookViewId="0">
      <selection activeCell="I69" sqref="I69"/>
    </sheetView>
  </sheetViews>
  <sheetFormatPr defaultRowHeight="15" x14ac:dyDescent="0.25"/>
  <cols>
    <col min="1" max="1" width="29.85546875" customWidth="1"/>
    <col min="2" max="2" width="18.140625" style="3" customWidth="1"/>
    <col min="3" max="3" width="18.5703125" style="3" customWidth="1"/>
    <col min="4" max="4" width="11.5703125" customWidth="1"/>
    <col min="6" max="6" width="10.5703125" customWidth="1"/>
    <col min="7" max="7" width="17.42578125" customWidth="1"/>
    <col min="8" max="8" width="15.42578125" customWidth="1"/>
    <col min="9" max="9" width="12.42578125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x14ac:dyDescent="0.25">
      <c r="A4" t="s">
        <v>3</v>
      </c>
    </row>
    <row r="6" spans="1:6" x14ac:dyDescent="0.25">
      <c r="A6" t="s">
        <v>4</v>
      </c>
    </row>
    <row r="7" spans="1:6" x14ac:dyDescent="0.25">
      <c r="A7" t="s">
        <v>5</v>
      </c>
    </row>
    <row r="8" spans="1:6" x14ac:dyDescent="0.25">
      <c r="B8" s="3" t="s">
        <v>6</v>
      </c>
    </row>
    <row r="9" spans="1:6" x14ac:dyDescent="0.25">
      <c r="B9" s="3" t="s">
        <v>7</v>
      </c>
    </row>
    <row r="10" spans="1:6" ht="15.75" thickBot="1" x14ac:dyDescent="0.3"/>
    <row r="11" spans="1:6" x14ac:dyDescent="0.25">
      <c r="A11" s="6"/>
      <c r="B11" s="7" t="s">
        <v>8</v>
      </c>
      <c r="C11" s="8" t="s">
        <v>9</v>
      </c>
    </row>
    <row r="12" spans="1:6" x14ac:dyDescent="0.25">
      <c r="A12" s="9" t="s">
        <v>22</v>
      </c>
      <c r="B12" s="10" t="s">
        <v>12</v>
      </c>
      <c r="C12" s="11" t="s">
        <v>12</v>
      </c>
    </row>
    <row r="13" spans="1:6" x14ac:dyDescent="0.25">
      <c r="A13" s="12" t="s">
        <v>10</v>
      </c>
      <c r="B13" s="30">
        <f>0.4426*677.72</f>
        <v>299.95887199999999</v>
      </c>
      <c r="C13" s="13">
        <f>1.82*170.08</f>
        <v>309.54560000000004</v>
      </c>
    </row>
    <row r="14" spans="1:6" x14ac:dyDescent="0.25">
      <c r="A14" s="12" t="s">
        <v>11</v>
      </c>
      <c r="B14" s="10">
        <f>B13-E14</f>
        <v>288.89363199999997</v>
      </c>
      <c r="C14" s="11">
        <f>C13-F14</f>
        <v>225.96260000000004</v>
      </c>
      <c r="E14" s="5">
        <f>11065240000/1000000000</f>
        <v>11.065239999999999</v>
      </c>
      <c r="F14" s="5">
        <f>83583000000/1000000000</f>
        <v>83.582999999999998</v>
      </c>
    </row>
    <row r="15" spans="1:6" x14ac:dyDescent="0.25">
      <c r="A15" s="9" t="s">
        <v>21</v>
      </c>
      <c r="B15" s="10"/>
      <c r="C15" s="11"/>
    </row>
    <row r="16" spans="1:6" x14ac:dyDescent="0.25">
      <c r="A16" s="12" t="s">
        <v>13</v>
      </c>
      <c r="B16" s="14">
        <f>5.050955-(0.07*E14)</f>
        <v>4.2763882000000004</v>
      </c>
      <c r="C16" s="15">
        <f>1.126-(0.0675*F14)</f>
        <v>-4.5158525000000012</v>
      </c>
    </row>
    <row r="17" spans="1:3" x14ac:dyDescent="0.25">
      <c r="A17" s="12" t="s">
        <v>14</v>
      </c>
      <c r="B17" s="14">
        <f>5.050955/E14</f>
        <v>0.4564704425751272</v>
      </c>
      <c r="C17" s="15">
        <f>1.126/F14</f>
        <v>1.3471638969646937E-2</v>
      </c>
    </row>
    <row r="18" spans="1:3" x14ac:dyDescent="0.25">
      <c r="A18" s="12" t="s">
        <v>15</v>
      </c>
      <c r="B18" s="14">
        <f>6125.1308688 / 38384.0979999999</f>
        <v>0.15957469858481499</v>
      </c>
      <c r="C18" s="15">
        <f>5420 * ( 1 - -13.37% ) / ( (176953 + 177351) / 2 )</f>
        <v>3.4685772669797686E-2</v>
      </c>
    </row>
    <row r="19" spans="1:3" x14ac:dyDescent="0.25">
      <c r="A19" s="12" t="s">
        <v>16</v>
      </c>
      <c r="B19" s="14">
        <f>5796.284 / 41855.413</f>
        <v>0.13848349794087564</v>
      </c>
      <c r="C19" s="15">
        <f>3672 / ((200250 + 202221)/ 2 )</f>
        <v>1.8247277443592211E-2</v>
      </c>
    </row>
    <row r="20" spans="1:3" x14ac:dyDescent="0.25">
      <c r="A20" s="9" t="s">
        <v>20</v>
      </c>
      <c r="B20" s="10"/>
      <c r="C20" s="11"/>
    </row>
    <row r="21" spans="1:3" x14ac:dyDescent="0.25">
      <c r="A21" s="12" t="s">
        <v>17</v>
      </c>
      <c r="B21" s="14">
        <f>7483.467 / ( (40970.969 + 42739.857) / 2 )</f>
        <v>0.17879329012952278</v>
      </c>
      <c r="C21" s="15">
        <f>17.022 / ( (200.25 + 202.221) / 2 )</f>
        <v>8.4587460959920091E-2</v>
      </c>
    </row>
    <row r="22" spans="1:3" x14ac:dyDescent="0.25">
      <c r="A22" s="12" t="s">
        <v>18</v>
      </c>
      <c r="B22" s="16" t="s">
        <v>42</v>
      </c>
      <c r="C22" s="15">
        <f>11.233 / ( (1.406 + 1.344) / 2 )</f>
        <v>8.1694545454545455</v>
      </c>
    </row>
    <row r="23" spans="1:3" x14ac:dyDescent="0.25">
      <c r="A23" s="12" t="s">
        <v>19</v>
      </c>
      <c r="B23" s="14">
        <f>7483.467 /782.35</f>
        <v>9.5653697194350347</v>
      </c>
      <c r="C23" s="15">
        <f>17.022/13.355</f>
        <v>1.2745788094346686</v>
      </c>
    </row>
    <row r="24" spans="1:3" x14ac:dyDescent="0.25">
      <c r="A24" s="9" t="s">
        <v>23</v>
      </c>
      <c r="B24" s="14"/>
      <c r="C24" s="15"/>
    </row>
    <row r="25" spans="1:3" x14ac:dyDescent="0.25">
      <c r="A25" s="12" t="s">
        <v>24</v>
      </c>
      <c r="B25" s="14"/>
      <c r="C25" s="15"/>
    </row>
    <row r="26" spans="1:3" x14ac:dyDescent="0.25">
      <c r="A26" s="12" t="s">
        <v>25</v>
      </c>
      <c r="B26" s="14">
        <f>1449.071 / 7483.467</f>
        <v>0.19363631856731645</v>
      </c>
      <c r="C26" s="15">
        <f>918 / 17022</f>
        <v>5.3930207966161436E-2</v>
      </c>
    </row>
    <row r="27" spans="1:3" x14ac:dyDescent="0.25">
      <c r="A27" s="12" t="s">
        <v>26</v>
      </c>
      <c r="B27" s="14">
        <f>1755.253 / 7483.467</f>
        <v>0.23455077706629829</v>
      </c>
      <c r="C27" s="15">
        <f>1355 / 17022</f>
        <v>7.960286687815768E-2</v>
      </c>
    </row>
    <row r="28" spans="1:3" x14ac:dyDescent="0.25">
      <c r="A28" s="9" t="s">
        <v>27</v>
      </c>
      <c r="B28" s="14"/>
      <c r="C28" s="15"/>
    </row>
    <row r="29" spans="1:3" x14ac:dyDescent="0.25">
      <c r="A29" s="12" t="s">
        <v>28</v>
      </c>
      <c r="B29" s="14">
        <f>(14793.691)/15314.617</f>
        <v>0.96598504552872599</v>
      </c>
      <c r="C29" s="15">
        <f>51110 / 86741</f>
        <v>0.58922539514185912</v>
      </c>
    </row>
    <row r="30" spans="1:3" x14ac:dyDescent="0.25">
      <c r="A30" s="12" t="s">
        <v>29</v>
      </c>
      <c r="B30" s="14">
        <f>(699.473 + 14793.691) / 15314.617</f>
        <v>1.0116586004077019</v>
      </c>
      <c r="C30" s="15">
        <f>(4728 + 51110) / 86741</f>
        <v>0.64373249097889118</v>
      </c>
    </row>
    <row r="31" spans="1:3" x14ac:dyDescent="0.25">
      <c r="A31" s="12" t="s">
        <v>30</v>
      </c>
      <c r="B31" s="14">
        <f>28215119/39280359</f>
        <v>0.71830094526376398</v>
      </c>
      <c r="C31" s="15">
        <f>113286000/201549000</f>
        <v>0.56207671583585128</v>
      </c>
    </row>
    <row r="32" spans="1:3" x14ac:dyDescent="0.25">
      <c r="A32" s="12" t="s">
        <v>31</v>
      </c>
      <c r="B32" s="17" t="s">
        <v>33</v>
      </c>
      <c r="C32" s="18" t="s">
        <v>34</v>
      </c>
    </row>
    <row r="33" spans="1:8" x14ac:dyDescent="0.25">
      <c r="A33" s="12" t="s">
        <v>32</v>
      </c>
      <c r="B33" s="14">
        <f>(4.585+10.92)/1.024</f>
        <v>15.141601562499998</v>
      </c>
      <c r="C33" s="15">
        <v>3.5</v>
      </c>
    </row>
    <row r="34" spans="1:8" x14ac:dyDescent="0.25">
      <c r="A34" s="9" t="s">
        <v>36</v>
      </c>
      <c r="B34" s="14"/>
      <c r="C34" s="15"/>
    </row>
    <row r="35" spans="1:8" x14ac:dyDescent="0.25">
      <c r="A35" s="12" t="s">
        <v>37</v>
      </c>
      <c r="B35" s="14">
        <f>(9415.787 - 0) / 8049.246</f>
        <v>1.1697725476398659</v>
      </c>
      <c r="C35" s="15">
        <f>(33966 - 1344) / 27413</f>
        <v>1.1900193338926786</v>
      </c>
    </row>
    <row r="36" spans="1:8" x14ac:dyDescent="0.25">
      <c r="A36" s="12" t="s">
        <v>38</v>
      </c>
      <c r="B36" s="14">
        <f>7526.681 / 8049.246</f>
        <v>0.93507901236960578</v>
      </c>
      <c r="C36" s="15">
        <f>16070 / 27413</f>
        <v>0.58621821763396931</v>
      </c>
    </row>
    <row r="37" spans="1:8" x14ac:dyDescent="0.25">
      <c r="A37" s="9" t="s">
        <v>35</v>
      </c>
      <c r="B37" s="14"/>
      <c r="C37" s="15"/>
    </row>
    <row r="38" spans="1:8" x14ac:dyDescent="0.25">
      <c r="A38" s="12" t="s">
        <v>39</v>
      </c>
      <c r="B38" s="14">
        <f xml:space="preserve"> - (-100 + 18.445 + 0) / 1449.071</f>
        <v>5.6280886167758525E-2</v>
      </c>
      <c r="C38" s="15">
        <f>- (0 + 0 + 0) / 1128</f>
        <v>0</v>
      </c>
    </row>
    <row r="39" spans="1:8" x14ac:dyDescent="0.25">
      <c r="A39" s="12" t="s">
        <v>40</v>
      </c>
      <c r="B39" s="14">
        <f>1-B38</f>
        <v>0.9437191138322415</v>
      </c>
      <c r="C39" s="15">
        <f>1-C38</f>
        <v>1</v>
      </c>
    </row>
    <row r="40" spans="1:8" ht="15.75" thickBot="1" x14ac:dyDescent="0.3">
      <c r="A40" s="19" t="s">
        <v>41</v>
      </c>
      <c r="B40" s="20">
        <f>(38315000-753000)/38315000</f>
        <v>0.98034712253686551</v>
      </c>
      <c r="C40" s="21">
        <f>(5050955-18567)/5050955</f>
        <v>0.99632406148936192</v>
      </c>
    </row>
    <row r="42" spans="1:8" x14ac:dyDescent="0.25">
      <c r="A42" s="26" t="s">
        <v>43</v>
      </c>
      <c r="B42" s="26"/>
      <c r="C42" s="26"/>
    </row>
    <row r="43" spans="1:8" x14ac:dyDescent="0.25">
      <c r="A43" s="27" t="s">
        <v>53</v>
      </c>
      <c r="B43" s="27"/>
      <c r="C43" s="27"/>
      <c r="F43" s="27" t="s">
        <v>62</v>
      </c>
      <c r="G43" s="27"/>
      <c r="H43" s="27"/>
    </row>
    <row r="44" spans="1:8" x14ac:dyDescent="0.25">
      <c r="A44" s="24" t="s">
        <v>44</v>
      </c>
      <c r="B44" s="25" t="s">
        <v>45</v>
      </c>
      <c r="C44" s="25" t="s">
        <v>46</v>
      </c>
      <c r="F44" s="1" t="s">
        <v>44</v>
      </c>
      <c r="G44" s="1" t="s">
        <v>45</v>
      </c>
      <c r="H44" s="1" t="s">
        <v>46</v>
      </c>
    </row>
    <row r="45" spans="1:8" x14ac:dyDescent="0.25">
      <c r="A45">
        <v>2021</v>
      </c>
      <c r="B45" s="3" t="s">
        <v>47</v>
      </c>
      <c r="C45" s="22">
        <v>-6.3399999999999998E-2</v>
      </c>
      <c r="F45">
        <v>2021</v>
      </c>
      <c r="G45" t="s">
        <v>54</v>
      </c>
      <c r="H45" s="28">
        <v>0.28000000000000003</v>
      </c>
    </row>
    <row r="46" spans="1:8" x14ac:dyDescent="0.25">
      <c r="A46">
        <v>2020</v>
      </c>
      <c r="B46" s="3" t="s">
        <v>48</v>
      </c>
      <c r="C46" s="22">
        <v>0.27350000000000002</v>
      </c>
      <c r="F46">
        <v>2020</v>
      </c>
      <c r="G46" t="s">
        <v>55</v>
      </c>
      <c r="H46" s="29">
        <v>0.6825</v>
      </c>
    </row>
    <row r="47" spans="1:8" x14ac:dyDescent="0.25">
      <c r="A47">
        <v>2019</v>
      </c>
      <c r="B47" s="3" t="s">
        <v>49</v>
      </c>
      <c r="C47" s="22">
        <v>0.56610000000000005</v>
      </c>
      <c r="F47">
        <v>2019</v>
      </c>
      <c r="G47" t="s">
        <v>56</v>
      </c>
      <c r="H47" s="29">
        <v>0.215</v>
      </c>
    </row>
    <row r="48" spans="1:8" x14ac:dyDescent="0.25">
      <c r="A48">
        <v>2018</v>
      </c>
      <c r="B48" s="3" t="s">
        <v>50</v>
      </c>
      <c r="C48" s="22">
        <v>1.4999999999999999E-2</v>
      </c>
      <c r="F48">
        <v>2018</v>
      </c>
      <c r="G48" t="s">
        <v>57</v>
      </c>
      <c r="H48" s="29">
        <v>0.40679999999999999</v>
      </c>
    </row>
    <row r="49" spans="1:9" x14ac:dyDescent="0.25">
      <c r="A49">
        <v>2017</v>
      </c>
      <c r="B49" s="3" t="s">
        <v>51</v>
      </c>
      <c r="C49" s="22">
        <v>-2.3E-2</v>
      </c>
      <c r="F49">
        <v>2017</v>
      </c>
      <c r="G49" t="s">
        <v>58</v>
      </c>
      <c r="H49" s="29">
        <v>0.5635</v>
      </c>
    </row>
    <row r="50" spans="1:9" x14ac:dyDescent="0.25">
      <c r="A50">
        <v>2016</v>
      </c>
      <c r="B50" s="3" t="s">
        <v>52</v>
      </c>
      <c r="C50" s="22">
        <v>-4.5199999999999997E-2</v>
      </c>
      <c r="F50">
        <v>2016</v>
      </c>
      <c r="G50" t="s">
        <v>59</v>
      </c>
      <c r="H50" s="29">
        <v>8.5400000000000004E-2</v>
      </c>
    </row>
    <row r="51" spans="1:9" x14ac:dyDescent="0.25">
      <c r="A51" t="s">
        <v>61</v>
      </c>
    </row>
    <row r="52" spans="1:9" x14ac:dyDescent="0.25">
      <c r="A52" t="s">
        <v>60</v>
      </c>
    </row>
    <row r="54" spans="1:9" x14ac:dyDescent="0.25">
      <c r="A54" s="38" t="s">
        <v>63</v>
      </c>
      <c r="B54" s="38"/>
      <c r="C54" s="38"/>
      <c r="D54" s="38"/>
      <c r="E54" s="38"/>
      <c r="F54" s="38"/>
      <c r="G54" s="38"/>
      <c r="H54" s="38"/>
      <c r="I54" s="38"/>
    </row>
    <row r="55" spans="1:9" x14ac:dyDescent="0.25">
      <c r="A55" t="s">
        <v>64</v>
      </c>
    </row>
    <row r="56" spans="1:9" s="1" customFormat="1" ht="33" customHeight="1" x14ac:dyDescent="0.25">
      <c r="A56" s="34" t="s">
        <v>65</v>
      </c>
      <c r="B56" s="2" t="s">
        <v>66</v>
      </c>
      <c r="C56" s="35" t="s">
        <v>67</v>
      </c>
      <c r="D56" s="36" t="s">
        <v>68</v>
      </c>
      <c r="F56" s="34" t="s">
        <v>65</v>
      </c>
      <c r="G56" s="2" t="s">
        <v>66</v>
      </c>
      <c r="H56" s="35" t="s">
        <v>67</v>
      </c>
      <c r="I56" s="36" t="s">
        <v>68</v>
      </c>
    </row>
    <row r="57" spans="1:9" x14ac:dyDescent="0.25">
      <c r="A57" s="31">
        <v>44469</v>
      </c>
      <c r="B57" s="3" t="s">
        <v>69</v>
      </c>
      <c r="C57" s="3" t="s">
        <v>70</v>
      </c>
      <c r="D57" s="29">
        <v>0.38030000000000003</v>
      </c>
      <c r="F57" s="31">
        <v>44377</v>
      </c>
      <c r="G57" t="s">
        <v>80</v>
      </c>
      <c r="H57" t="s">
        <v>81</v>
      </c>
      <c r="I57" s="29">
        <v>1.26E-2</v>
      </c>
    </row>
    <row r="58" spans="1:9" x14ac:dyDescent="0.25">
      <c r="A58" s="31">
        <v>44196</v>
      </c>
      <c r="B58" s="3" t="s">
        <v>71</v>
      </c>
      <c r="C58" s="3" t="s">
        <v>72</v>
      </c>
      <c r="D58" s="29">
        <v>0.28220000000000001</v>
      </c>
      <c r="F58" s="31">
        <v>44196</v>
      </c>
      <c r="G58" t="s">
        <v>82</v>
      </c>
      <c r="H58" t="s">
        <v>83</v>
      </c>
      <c r="I58" s="29">
        <v>-5.4699999999999999E-2</v>
      </c>
    </row>
    <row r="59" spans="1:9" x14ac:dyDescent="0.25">
      <c r="A59" s="31">
        <v>43830</v>
      </c>
      <c r="B59" s="3" t="s">
        <v>73</v>
      </c>
      <c r="C59" s="3" t="s">
        <v>74</v>
      </c>
      <c r="D59" s="29">
        <v>0.28449999999999998</v>
      </c>
      <c r="F59" s="31">
        <v>43830</v>
      </c>
      <c r="G59" t="s">
        <v>84</v>
      </c>
      <c r="H59" t="s">
        <v>85</v>
      </c>
      <c r="I59" s="29">
        <v>0.1066</v>
      </c>
    </row>
    <row r="60" spans="1:9" x14ac:dyDescent="0.25">
      <c r="A60" s="31">
        <v>43465</v>
      </c>
      <c r="B60" s="3" t="s">
        <v>76</v>
      </c>
      <c r="C60" s="3" t="s">
        <v>77</v>
      </c>
      <c r="D60" s="29">
        <v>0.2581</v>
      </c>
      <c r="F60" s="31">
        <v>43465</v>
      </c>
      <c r="G60" t="s">
        <v>86</v>
      </c>
      <c r="H60" t="s">
        <v>87</v>
      </c>
      <c r="I60" s="29">
        <v>0.21290000000000001</v>
      </c>
    </row>
    <row r="61" spans="1:9" x14ac:dyDescent="0.25">
      <c r="A61" s="31">
        <v>43100</v>
      </c>
      <c r="B61" s="3" t="s">
        <v>78</v>
      </c>
      <c r="C61" s="3" t="s">
        <v>79</v>
      </c>
      <c r="D61" s="29">
        <v>0.1724</v>
      </c>
      <c r="F61" s="31">
        <v>43100</v>
      </c>
      <c r="G61" t="s">
        <v>88</v>
      </c>
      <c r="H61" t="s">
        <v>89</v>
      </c>
      <c r="I61" s="29">
        <v>0.23569999999999999</v>
      </c>
    </row>
    <row r="63" spans="1:9" x14ac:dyDescent="0.25">
      <c r="A63" s="43" t="s">
        <v>90</v>
      </c>
      <c r="B63" s="43"/>
      <c r="C63" s="43"/>
      <c r="D63" s="43"/>
      <c r="E63" s="43"/>
      <c r="F63" s="43"/>
      <c r="G63" s="43"/>
      <c r="H63" s="43"/>
      <c r="I63" s="43"/>
    </row>
    <row r="64" spans="1:9" x14ac:dyDescent="0.25">
      <c r="A64" s="34" t="s">
        <v>137</v>
      </c>
      <c r="B64" s="34" t="s">
        <v>8</v>
      </c>
      <c r="C64" s="42" t="s">
        <v>136</v>
      </c>
    </row>
    <row r="65" spans="1:9" x14ac:dyDescent="0.25">
      <c r="A65">
        <v>2020</v>
      </c>
      <c r="B65" s="4">
        <v>0.68</v>
      </c>
      <c r="C65" s="4">
        <v>0.33</v>
      </c>
    </row>
    <row r="66" spans="1:9" x14ac:dyDescent="0.25">
      <c r="A66">
        <v>2019</v>
      </c>
      <c r="B66" s="4">
        <v>0.67</v>
      </c>
      <c r="C66" s="4">
        <v>0.48</v>
      </c>
    </row>
    <row r="67" spans="1:9" x14ac:dyDescent="0.25">
      <c r="A67">
        <v>2018</v>
      </c>
      <c r="B67" s="4">
        <v>0.7</v>
      </c>
      <c r="C67" s="4">
        <v>0.61</v>
      </c>
    </row>
    <row r="68" spans="1:9" x14ac:dyDescent="0.25">
      <c r="A68">
        <v>2017</v>
      </c>
      <c r="B68" s="4">
        <v>0.72</v>
      </c>
      <c r="C68" s="4">
        <v>0.59</v>
      </c>
    </row>
    <row r="69" spans="1:9" x14ac:dyDescent="0.25">
      <c r="A69">
        <v>2016</v>
      </c>
      <c r="B69" s="4">
        <v>0.74</v>
      </c>
      <c r="C69" s="4">
        <v>0.62</v>
      </c>
    </row>
    <row r="72" spans="1:9" x14ac:dyDescent="0.25">
      <c r="A72" s="23" t="s">
        <v>9</v>
      </c>
      <c r="B72" s="39" t="s">
        <v>93</v>
      </c>
      <c r="C72" s="39"/>
      <c r="D72" s="39"/>
      <c r="E72" s="39"/>
      <c r="F72" s="41" t="s">
        <v>8</v>
      </c>
      <c r="G72" s="40"/>
      <c r="H72" s="40"/>
      <c r="I72" s="40"/>
    </row>
    <row r="73" spans="1:9" ht="45" x14ac:dyDescent="0.25">
      <c r="A73" t="s">
        <v>65</v>
      </c>
      <c r="B73" s="32" t="s">
        <v>91</v>
      </c>
      <c r="C73" s="3" t="s">
        <v>92</v>
      </c>
      <c r="D73" t="s">
        <v>93</v>
      </c>
      <c r="F73" t="s">
        <v>65</v>
      </c>
      <c r="G73" s="37" t="s">
        <v>91</v>
      </c>
      <c r="H73" s="33" t="s">
        <v>92</v>
      </c>
      <c r="I73" t="s">
        <v>93</v>
      </c>
    </row>
    <row r="74" spans="1:9" x14ac:dyDescent="0.25">
      <c r="A74" s="31">
        <v>44377</v>
      </c>
      <c r="B74" s="3" t="s">
        <v>94</v>
      </c>
      <c r="C74" s="3" t="s">
        <v>95</v>
      </c>
      <c r="D74">
        <v>1.19</v>
      </c>
      <c r="F74" s="31">
        <v>44469</v>
      </c>
      <c r="G74" t="s">
        <v>122</v>
      </c>
      <c r="H74" t="s">
        <v>123</v>
      </c>
      <c r="I74">
        <v>0</v>
      </c>
    </row>
    <row r="75" spans="1:9" x14ac:dyDescent="0.25">
      <c r="A75" s="31">
        <v>44286</v>
      </c>
      <c r="B75" s="3" t="s">
        <v>96</v>
      </c>
      <c r="C75" s="3" t="s">
        <v>97</v>
      </c>
      <c r="D75">
        <v>1.18</v>
      </c>
      <c r="F75" s="31">
        <v>44377</v>
      </c>
      <c r="G75" t="s">
        <v>122</v>
      </c>
      <c r="H75" t="s">
        <v>124</v>
      </c>
      <c r="I75">
        <v>0</v>
      </c>
    </row>
    <row r="76" spans="1:9" x14ac:dyDescent="0.25">
      <c r="A76" s="31">
        <v>44196</v>
      </c>
      <c r="B76" s="3" t="s">
        <v>98</v>
      </c>
      <c r="C76" s="3" t="s">
        <v>99</v>
      </c>
      <c r="D76">
        <v>1.26</v>
      </c>
      <c r="F76" s="31">
        <v>44286</v>
      </c>
      <c r="G76" t="s">
        <v>122</v>
      </c>
      <c r="H76" t="s">
        <v>125</v>
      </c>
      <c r="I76">
        <v>0</v>
      </c>
    </row>
    <row r="77" spans="1:9" x14ac:dyDescent="0.25">
      <c r="A77" s="31">
        <v>44104</v>
      </c>
      <c r="B77" s="3" t="s">
        <v>100</v>
      </c>
      <c r="C77" s="3" t="s">
        <v>101</v>
      </c>
      <c r="D77">
        <v>1.26</v>
      </c>
      <c r="F77" s="31">
        <v>44196</v>
      </c>
      <c r="G77" t="s">
        <v>122</v>
      </c>
      <c r="H77" t="s">
        <v>126</v>
      </c>
      <c r="I77">
        <v>0</v>
      </c>
    </row>
    <row r="78" spans="1:9" x14ac:dyDescent="0.25">
      <c r="A78" s="31">
        <v>44012</v>
      </c>
      <c r="B78" s="3" t="s">
        <v>102</v>
      </c>
      <c r="C78" s="3" t="s">
        <v>103</v>
      </c>
      <c r="D78">
        <v>1.29</v>
      </c>
      <c r="F78" s="31">
        <v>44104</v>
      </c>
      <c r="G78" t="s">
        <v>122</v>
      </c>
      <c r="H78" t="s">
        <v>127</v>
      </c>
      <c r="I78">
        <v>0</v>
      </c>
    </row>
    <row r="79" spans="1:9" x14ac:dyDescent="0.25">
      <c r="A79" s="31">
        <v>43921</v>
      </c>
      <c r="B79" s="3" t="s">
        <v>104</v>
      </c>
      <c r="C79" s="3" t="s">
        <v>105</v>
      </c>
      <c r="D79">
        <v>0.9</v>
      </c>
      <c r="F79" s="31">
        <v>44012</v>
      </c>
      <c r="G79" t="s">
        <v>122</v>
      </c>
      <c r="H79" t="s">
        <v>128</v>
      </c>
      <c r="I79">
        <v>0</v>
      </c>
    </row>
    <row r="80" spans="1:9" x14ac:dyDescent="0.25">
      <c r="A80" s="31">
        <v>43830</v>
      </c>
      <c r="B80" s="3" t="s">
        <v>106</v>
      </c>
      <c r="C80" s="3" t="s">
        <v>107</v>
      </c>
      <c r="D80">
        <v>0.75</v>
      </c>
      <c r="F80" s="31">
        <v>43921</v>
      </c>
      <c r="G80" t="s">
        <v>122</v>
      </c>
      <c r="H80" t="s">
        <v>129</v>
      </c>
      <c r="I80">
        <v>0</v>
      </c>
    </row>
    <row r="81" spans="1:9" x14ac:dyDescent="0.25">
      <c r="A81" s="31">
        <v>43738</v>
      </c>
      <c r="B81" s="3" t="s">
        <v>108</v>
      </c>
      <c r="C81" s="3" t="s">
        <v>109</v>
      </c>
      <c r="D81">
        <v>0.85</v>
      </c>
      <c r="F81" s="31">
        <v>43830</v>
      </c>
      <c r="G81" t="s">
        <v>122</v>
      </c>
      <c r="H81" t="s">
        <v>75</v>
      </c>
      <c r="I81">
        <v>0</v>
      </c>
    </row>
    <row r="82" spans="1:9" x14ac:dyDescent="0.25">
      <c r="A82" s="31">
        <v>43646</v>
      </c>
      <c r="B82" s="3" t="s">
        <v>110</v>
      </c>
      <c r="C82" s="3" t="s">
        <v>111</v>
      </c>
      <c r="D82">
        <v>0.67</v>
      </c>
      <c r="F82" s="31">
        <v>43738</v>
      </c>
      <c r="G82" t="s">
        <v>122</v>
      </c>
      <c r="H82" t="s">
        <v>130</v>
      </c>
      <c r="I82">
        <v>0</v>
      </c>
    </row>
    <row r="83" spans="1:9" x14ac:dyDescent="0.25">
      <c r="A83" s="31">
        <v>43555</v>
      </c>
      <c r="B83" s="3" t="s">
        <v>112</v>
      </c>
      <c r="C83" s="3" t="s">
        <v>113</v>
      </c>
      <c r="D83">
        <v>0.74</v>
      </c>
      <c r="F83" s="31">
        <v>43646</v>
      </c>
      <c r="G83" t="s">
        <v>122</v>
      </c>
      <c r="H83" t="s">
        <v>131</v>
      </c>
      <c r="I83">
        <v>0</v>
      </c>
    </row>
    <row r="84" spans="1:9" x14ac:dyDescent="0.25">
      <c r="A84" s="31">
        <v>43465</v>
      </c>
      <c r="B84" s="3" t="s">
        <v>114</v>
      </c>
      <c r="C84" s="3" t="s">
        <v>115</v>
      </c>
      <c r="D84">
        <v>0.92</v>
      </c>
      <c r="F84" s="31">
        <v>43555</v>
      </c>
      <c r="G84" t="s">
        <v>122</v>
      </c>
      <c r="H84" t="s">
        <v>75</v>
      </c>
      <c r="I84">
        <v>0</v>
      </c>
    </row>
    <row r="85" spans="1:9" x14ac:dyDescent="0.25">
      <c r="A85" s="31">
        <v>43373</v>
      </c>
      <c r="B85" s="3" t="s">
        <v>116</v>
      </c>
      <c r="C85" s="3" t="s">
        <v>117</v>
      </c>
      <c r="D85">
        <v>0.86</v>
      </c>
      <c r="F85" s="31">
        <v>43465</v>
      </c>
      <c r="G85" t="s">
        <v>122</v>
      </c>
      <c r="H85" t="s">
        <v>132</v>
      </c>
      <c r="I85">
        <v>0</v>
      </c>
    </row>
    <row r="86" spans="1:9" x14ac:dyDescent="0.25">
      <c r="A86" s="31">
        <v>43281</v>
      </c>
      <c r="B86" s="3" t="s">
        <v>118</v>
      </c>
      <c r="C86" s="3" t="s">
        <v>119</v>
      </c>
      <c r="D86">
        <v>0.81</v>
      </c>
      <c r="F86" s="31">
        <v>43373</v>
      </c>
      <c r="G86" t="s">
        <v>122</v>
      </c>
      <c r="H86" t="s">
        <v>133</v>
      </c>
      <c r="I86">
        <v>0</v>
      </c>
    </row>
    <row r="87" spans="1:9" x14ac:dyDescent="0.25">
      <c r="A87" s="31">
        <v>43190</v>
      </c>
      <c r="B87" s="3" t="s">
        <v>120</v>
      </c>
      <c r="C87" s="3" t="s">
        <v>121</v>
      </c>
      <c r="D87">
        <v>0.79</v>
      </c>
      <c r="F87" s="31">
        <v>43281</v>
      </c>
      <c r="G87" t="s">
        <v>122</v>
      </c>
      <c r="H87" t="s">
        <v>134</v>
      </c>
      <c r="I87">
        <v>0</v>
      </c>
    </row>
    <row r="90" spans="1:9" x14ac:dyDescent="0.25">
      <c r="A90" t="s">
        <v>135</v>
      </c>
    </row>
  </sheetData>
  <mergeCells count="5">
    <mergeCell ref="B72:E72"/>
    <mergeCell ref="A42:C42"/>
    <mergeCell ref="A43:C43"/>
    <mergeCell ref="F43:H43"/>
    <mergeCell ref="A54:I5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2021-11-03T21:22:54Z</dcterms:created>
  <dcterms:modified xsi:type="dcterms:W3CDTF">2021-11-04T13:50:51Z</dcterms:modified>
</cp:coreProperties>
</file>